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checkCompatibility="1" autoCompressPictures="0" defaultThemeVersion="124226"/>
  <bookViews>
    <workbookView xWindow="180" yWindow="240" windowWidth="20730" windowHeight="11760"/>
  </bookViews>
  <sheets>
    <sheet name="Финансы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R13" i="1"/>
  <c r="S13" i="1"/>
  <c r="Q13" i="1"/>
  <c r="Q10" i="1"/>
  <c r="R14" i="1"/>
  <c r="S14" i="1"/>
  <c r="Q14" i="1"/>
  <c r="P14" i="1"/>
  <c r="P7" i="1"/>
  <c r="R10" i="1"/>
  <c r="S3" i="1"/>
  <c r="S15" i="1"/>
  <c r="P10" i="1"/>
  <c r="S10" i="1"/>
  <c r="F30" i="1"/>
  <c r="G30" i="1"/>
  <c r="H30" i="1"/>
  <c r="I30" i="1"/>
  <c r="J30" i="1"/>
  <c r="K30" i="1"/>
  <c r="L30" i="1"/>
  <c r="M30" i="1"/>
  <c r="N30" i="1"/>
  <c r="C9" i="1"/>
  <c r="C10" i="1"/>
  <c r="C15" i="1"/>
  <c r="C22" i="1"/>
  <c r="C26" i="1"/>
  <c r="C28" i="1"/>
  <c r="C30" i="1"/>
  <c r="C31" i="1"/>
  <c r="C32" i="1"/>
  <c r="D8" i="1"/>
  <c r="D10" i="1"/>
  <c r="D15" i="1"/>
  <c r="D17" i="1"/>
  <c r="D18" i="1"/>
  <c r="D22" i="1"/>
  <c r="D26" i="1"/>
  <c r="D28" i="1"/>
  <c r="D30" i="1"/>
  <c r="D31" i="1"/>
  <c r="D32" i="1"/>
  <c r="E8" i="1"/>
  <c r="E10" i="1"/>
  <c r="E15" i="1"/>
  <c r="E17" i="1"/>
  <c r="E18" i="1"/>
  <c r="E22" i="1"/>
  <c r="E26" i="1"/>
  <c r="E28" i="1"/>
  <c r="E31" i="1"/>
  <c r="E32" i="1"/>
  <c r="F8" i="1"/>
  <c r="F10" i="1"/>
  <c r="F15" i="1"/>
  <c r="F17" i="1"/>
  <c r="F18" i="1"/>
  <c r="F22" i="1"/>
  <c r="F26" i="1"/>
  <c r="F28" i="1"/>
  <c r="F31" i="1"/>
  <c r="F32" i="1"/>
  <c r="G8" i="1"/>
  <c r="G10" i="1"/>
  <c r="G15" i="1"/>
  <c r="G17" i="1"/>
  <c r="G18" i="1"/>
  <c r="G22" i="1"/>
  <c r="G26" i="1"/>
  <c r="G28" i="1"/>
  <c r="G31" i="1"/>
  <c r="G32" i="1"/>
  <c r="H8" i="1"/>
  <c r="H10" i="1"/>
  <c r="H15" i="1"/>
  <c r="H17" i="1"/>
  <c r="H18" i="1"/>
  <c r="H22" i="1"/>
  <c r="H26" i="1"/>
  <c r="H28" i="1"/>
  <c r="H31" i="1"/>
  <c r="H32" i="1"/>
  <c r="I8" i="1"/>
  <c r="I10" i="1"/>
  <c r="I11" i="1"/>
  <c r="I15" i="1"/>
  <c r="I17" i="1"/>
  <c r="I18" i="1"/>
  <c r="I22" i="1"/>
  <c r="I26" i="1"/>
  <c r="I28" i="1"/>
  <c r="I31" i="1"/>
  <c r="I32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22" i="1"/>
  <c r="O4" i="1"/>
  <c r="X26" i="1"/>
  <c r="X28" i="1"/>
  <c r="X30" i="1"/>
  <c r="X31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22" i="1"/>
  <c r="V26" i="1"/>
  <c r="V28" i="1"/>
  <c r="V30" i="1"/>
  <c r="V31" i="1"/>
  <c r="U5" i="1"/>
  <c r="U6" i="1"/>
  <c r="U7" i="1"/>
  <c r="U8" i="1"/>
  <c r="U9" i="1"/>
  <c r="U3" i="1"/>
  <c r="U10" i="1"/>
  <c r="U11" i="1"/>
  <c r="U12" i="1"/>
  <c r="U13" i="1"/>
  <c r="U14" i="1"/>
  <c r="U15" i="1"/>
  <c r="U16" i="1"/>
  <c r="U17" i="1"/>
  <c r="U18" i="1"/>
  <c r="U22" i="1"/>
  <c r="U26" i="1"/>
  <c r="U28" i="1"/>
  <c r="U30" i="1"/>
  <c r="U31" i="1"/>
  <c r="S5" i="1"/>
  <c r="S6" i="1"/>
  <c r="S7" i="1"/>
  <c r="S8" i="1"/>
  <c r="S9" i="1"/>
  <c r="S11" i="1"/>
  <c r="S12" i="1"/>
  <c r="S16" i="1"/>
  <c r="S17" i="1"/>
  <c r="S18" i="1"/>
  <c r="S22" i="1"/>
  <c r="S26" i="1"/>
  <c r="S28" i="1"/>
  <c r="S30" i="1"/>
  <c r="S31" i="1"/>
  <c r="R5" i="1"/>
  <c r="R6" i="1"/>
  <c r="R7" i="1"/>
  <c r="R8" i="1"/>
  <c r="R9" i="1"/>
  <c r="R11" i="1"/>
  <c r="R12" i="1"/>
  <c r="R15" i="1"/>
  <c r="R16" i="1"/>
  <c r="R17" i="1"/>
  <c r="R18" i="1"/>
  <c r="R22" i="1"/>
  <c r="R26" i="1"/>
  <c r="R28" i="1"/>
  <c r="R30" i="1"/>
  <c r="R31" i="1"/>
  <c r="Q5" i="1"/>
  <c r="Q6" i="1"/>
  <c r="Q7" i="1"/>
  <c r="Q8" i="1"/>
  <c r="Q9" i="1"/>
  <c r="Q3" i="1"/>
  <c r="Q11" i="1"/>
  <c r="Q12" i="1"/>
  <c r="Q15" i="1"/>
  <c r="Q16" i="1"/>
  <c r="Q17" i="1"/>
  <c r="Q18" i="1"/>
  <c r="Q22" i="1"/>
  <c r="Q26" i="1"/>
  <c r="Q28" i="1"/>
  <c r="Q30" i="1"/>
  <c r="Q31" i="1"/>
  <c r="P5" i="1"/>
  <c r="P6" i="1"/>
  <c r="P8" i="1"/>
  <c r="P9" i="1"/>
  <c r="P11" i="1"/>
  <c r="P12" i="1"/>
  <c r="P13" i="1"/>
  <c r="P15" i="1"/>
  <c r="P16" i="1"/>
  <c r="P17" i="1"/>
  <c r="P18" i="1"/>
  <c r="P22" i="1"/>
  <c r="P26" i="1"/>
  <c r="P28" i="1"/>
  <c r="P30" i="1"/>
  <c r="P31" i="1"/>
  <c r="J8" i="1"/>
  <c r="K8" i="1"/>
  <c r="L8" i="1"/>
  <c r="M8" i="1"/>
  <c r="N8" i="1"/>
  <c r="N10" i="1"/>
  <c r="L11" i="1"/>
  <c r="M11" i="1"/>
  <c r="N11" i="1"/>
  <c r="L14" i="1"/>
  <c r="M14" i="1"/>
  <c r="N14" i="1"/>
  <c r="N15" i="1"/>
  <c r="J17" i="1"/>
  <c r="K17" i="1"/>
  <c r="L17" i="1"/>
  <c r="M17" i="1"/>
  <c r="N17" i="1"/>
  <c r="J18" i="1"/>
  <c r="K18" i="1"/>
  <c r="L18" i="1"/>
  <c r="M18" i="1"/>
  <c r="N18" i="1"/>
  <c r="N22" i="1"/>
  <c r="N26" i="1"/>
  <c r="N28" i="1"/>
  <c r="N31" i="1"/>
  <c r="M10" i="1"/>
  <c r="M15" i="1"/>
  <c r="M22" i="1"/>
  <c r="M26" i="1"/>
  <c r="M28" i="1"/>
  <c r="M31" i="1"/>
  <c r="L15" i="1"/>
  <c r="L22" i="1"/>
  <c r="L26" i="1"/>
  <c r="L28" i="1"/>
  <c r="L31" i="1"/>
  <c r="K10" i="1"/>
  <c r="K15" i="1"/>
  <c r="K22" i="1"/>
  <c r="K26" i="1"/>
  <c r="K28" i="1"/>
  <c r="K31" i="1"/>
  <c r="J10" i="1"/>
  <c r="J11" i="1"/>
  <c r="J15" i="1"/>
  <c r="J22" i="1"/>
  <c r="J26" i="1"/>
  <c r="J28" i="1"/>
  <c r="J31" i="1"/>
  <c r="J32" i="1"/>
  <c r="K32" i="1"/>
  <c r="L32" i="1"/>
  <c r="M32" i="1"/>
  <c r="N32" i="1"/>
  <c r="P32" i="1"/>
  <c r="Q32" i="1"/>
  <c r="R32" i="1"/>
  <c r="S32" i="1"/>
  <c r="U32" i="1"/>
  <c r="V32" i="1"/>
  <c r="X32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22" i="1"/>
  <c r="Y26" i="1"/>
  <c r="Y28" i="1"/>
  <c r="Y30" i="1"/>
  <c r="Y31" i="1"/>
  <c r="Y32" i="1"/>
  <c r="W22" i="1"/>
  <c r="W19" i="1"/>
  <c r="D34" i="1"/>
  <c r="U34" i="1"/>
  <c r="V34" i="1"/>
  <c r="W34" i="1"/>
  <c r="P34" i="1"/>
  <c r="Q34" i="1"/>
  <c r="R34" i="1"/>
  <c r="S34" i="1"/>
  <c r="T34" i="1"/>
  <c r="X34" i="1"/>
  <c r="Y34" i="1"/>
  <c r="T19" i="1"/>
  <c r="M34" i="1"/>
  <c r="C34" i="1"/>
  <c r="O19" i="1"/>
  <c r="W13" i="1"/>
  <c r="T13" i="1"/>
  <c r="W12" i="1"/>
  <c r="O13" i="1"/>
  <c r="W9" i="1"/>
  <c r="W7" i="1"/>
  <c r="T7" i="1"/>
  <c r="O7" i="1"/>
  <c r="W6" i="1"/>
  <c r="T6" i="1"/>
  <c r="O6" i="1"/>
  <c r="W5" i="1"/>
  <c r="T5" i="1"/>
  <c r="O5" i="1"/>
  <c r="H34" i="1"/>
  <c r="E34" i="1"/>
  <c r="F34" i="1"/>
  <c r="G34" i="1"/>
  <c r="I34" i="1"/>
  <c r="J34" i="1"/>
  <c r="K34" i="1"/>
  <c r="L34" i="1"/>
  <c r="N34" i="1"/>
  <c r="W8" i="1"/>
  <c r="W10" i="1"/>
  <c r="W11" i="1"/>
  <c r="W14" i="1"/>
  <c r="W15" i="1"/>
  <c r="W16" i="1"/>
  <c r="W17" i="1"/>
  <c r="W18" i="1"/>
  <c r="W26" i="1"/>
  <c r="W28" i="1"/>
  <c r="W30" i="1"/>
  <c r="W31" i="1"/>
  <c r="T30" i="1"/>
  <c r="T8" i="1"/>
  <c r="T9" i="1"/>
  <c r="T10" i="1"/>
  <c r="T11" i="1"/>
  <c r="T12" i="1"/>
  <c r="T14" i="1"/>
  <c r="T15" i="1"/>
  <c r="T16" i="1"/>
  <c r="T17" i="1"/>
  <c r="T18" i="1"/>
  <c r="T22" i="1"/>
  <c r="T26" i="1"/>
  <c r="T28" i="1"/>
  <c r="T31" i="1"/>
  <c r="T4" i="1"/>
  <c r="O9" i="1"/>
  <c r="O8" i="1"/>
  <c r="O18" i="1"/>
  <c r="O17" i="1"/>
  <c r="O16" i="1"/>
  <c r="O15" i="1"/>
  <c r="O14" i="1"/>
  <c r="O11" i="1"/>
  <c r="O10" i="1"/>
  <c r="O12" i="1"/>
  <c r="O22" i="1"/>
  <c r="O26" i="1"/>
  <c r="O31" i="1"/>
  <c r="O30" i="1"/>
  <c r="O28" i="1"/>
  <c r="O34" i="1"/>
</calcChain>
</file>

<file path=xl/sharedStrings.xml><?xml version="1.0" encoding="utf-8"?>
<sst xmlns="http://schemas.openxmlformats.org/spreadsheetml/2006/main" count="38" uniqueCount="38">
  <si>
    <t>Валовый доход</t>
  </si>
  <si>
    <t>Прибыль, убыток</t>
  </si>
  <si>
    <t>Налог на прибыль</t>
  </si>
  <si>
    <t>Чистая прибыль (убыток)</t>
  </si>
  <si>
    <t>Чистая прибыль (убыток) с накопл.</t>
  </si>
  <si>
    <t>Взносы учредителей</t>
  </si>
  <si>
    <t>Содержание помещений</t>
  </si>
  <si>
    <t>Связь</t>
  </si>
  <si>
    <t>Транспорт</t>
  </si>
  <si>
    <t>Реклама</t>
  </si>
  <si>
    <t xml:space="preserve">МБП </t>
  </si>
  <si>
    <t>Расходы прочее</t>
  </si>
  <si>
    <t>Всего затраты без инвестиций</t>
  </si>
  <si>
    <t>Инвестиции</t>
  </si>
  <si>
    <t>Всего затраты с инвестициями</t>
  </si>
  <si>
    <t>Рабочих дней</t>
  </si>
  <si>
    <t>К-во сотрудников</t>
  </si>
  <si>
    <t>Финансы+налоги з.п.</t>
  </si>
  <si>
    <t>Обыч. налоообложение</t>
  </si>
  <si>
    <t>Сайт</t>
  </si>
  <si>
    <t>1 квартал</t>
  </si>
  <si>
    <t>2 квартал</t>
  </si>
  <si>
    <t>3 квартал</t>
  </si>
  <si>
    <t>4 квартал</t>
  </si>
  <si>
    <t>1 Год</t>
  </si>
  <si>
    <t>2 Год</t>
  </si>
  <si>
    <t>1 полугодие</t>
  </si>
  <si>
    <t>2 полугодие</t>
  </si>
  <si>
    <t>Аренда офиса</t>
  </si>
  <si>
    <t>Аренда кузни</t>
  </si>
  <si>
    <t>Магазин</t>
  </si>
  <si>
    <t>Бензин</t>
  </si>
  <si>
    <t>ИТ</t>
  </si>
  <si>
    <t>Затраты на производство</t>
  </si>
  <si>
    <t>Зарплата</t>
  </si>
  <si>
    <t>3 Год</t>
  </si>
  <si>
    <t>4 Год</t>
  </si>
  <si>
    <t>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</si>
</sst>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8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0" fillId="0" borderId="4" xfId="0" applyBorder="1"/>
    <xf numFmtId="3" fontId="0" fillId="5" borderId="2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right" vertical="center"/>
    </xf>
    <xf numFmtId="3" fontId="0" fillId="6" borderId="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5" borderId="2" xfId="0" applyNumberForma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0" fontId="5" fillId="0" borderId="0" xfId="0" applyFont="1"/>
  </cellXfs>
  <cellStyles count="12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</cellStyles>
  <dxfs count="0"/>
  <tableStyles count="0" defaultTableStyle="TableStyleMedium2" defaultPivotStyle="PivotStyleLight16"/>
  <colors>
    <mruColors>
      <color rgb="FFFFFF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outlinePr summaryBelow="0"/>
  </sheetPr>
  <dimension ref="A1:Z66"/>
  <sheetViews>
    <sheetView tabSelected="1" topLeftCell="B1" workbookViewId="0">
      <selection activeCell="E31" sqref="E31"/>
    </sheetView>
  </sheetViews>
  <sheetFormatPr defaultColWidth="8.85546875" defaultRowHeight="15" x14ac:dyDescent="0.25"/>
  <cols>
    <col min="1" max="1" width="9.7109375" hidden="1" customWidth="1"/>
    <col min="2" max="2" width="25.28515625" customWidth="1"/>
    <col min="3" max="14" width="9.42578125" customWidth="1"/>
    <col min="15" max="15" width="10.85546875" style="7" customWidth="1"/>
    <col min="16" max="19" width="9.42578125" customWidth="1"/>
    <col min="20" max="20" width="9.42578125" style="7" customWidth="1"/>
    <col min="21" max="21" width="11.42578125" customWidth="1"/>
    <col min="22" max="22" width="9.85546875" customWidth="1"/>
    <col min="23" max="23" width="10.140625" style="7" customWidth="1"/>
    <col min="24" max="24" width="10.7109375" style="7" customWidth="1"/>
    <col min="25" max="25" width="10.85546875" style="7" customWidth="1"/>
    <col min="26" max="26" width="15.140625" customWidth="1"/>
    <col min="27" max="27" width="11" customWidth="1"/>
    <col min="28" max="28" width="10.140625" bestFit="1" customWidth="1"/>
    <col min="29" max="29" width="10.42578125" customWidth="1"/>
    <col min="30" max="31" width="10.85546875" customWidth="1"/>
  </cols>
  <sheetData>
    <row r="1" spans="1:26" ht="15.75" thickBot="1" x14ac:dyDescent="0.3">
      <c r="A1" s="9"/>
      <c r="B1" s="15" t="s">
        <v>18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7" t="s">
        <v>24</v>
      </c>
      <c r="P1" s="18" t="s">
        <v>20</v>
      </c>
      <c r="Q1" s="18" t="s">
        <v>21</v>
      </c>
      <c r="R1" s="19" t="s">
        <v>22</v>
      </c>
      <c r="S1" s="19" t="s">
        <v>23</v>
      </c>
      <c r="T1" s="20" t="s">
        <v>25</v>
      </c>
      <c r="U1" s="19" t="s">
        <v>26</v>
      </c>
      <c r="V1" s="19" t="s">
        <v>27</v>
      </c>
      <c r="W1" s="20" t="s">
        <v>35</v>
      </c>
      <c r="X1" s="20" t="s">
        <v>36</v>
      </c>
      <c r="Y1" s="20" t="s">
        <v>37</v>
      </c>
      <c r="Z1" s="1"/>
    </row>
    <row r="2" spans="1:26" x14ac:dyDescent="0.25">
      <c r="B2" s="21" t="s">
        <v>15</v>
      </c>
      <c r="C2" s="22">
        <v>30</v>
      </c>
      <c r="D2" s="22">
        <v>30</v>
      </c>
      <c r="E2" s="22">
        <v>30</v>
      </c>
      <c r="F2" s="22">
        <v>30</v>
      </c>
      <c r="G2" s="22">
        <v>30</v>
      </c>
      <c r="H2" s="22">
        <v>30</v>
      </c>
      <c r="I2" s="22">
        <v>30</v>
      </c>
      <c r="J2" s="22">
        <v>30</v>
      </c>
      <c r="K2" s="22">
        <v>30</v>
      </c>
      <c r="L2" s="22">
        <v>30</v>
      </c>
      <c r="M2" s="22">
        <v>30</v>
      </c>
      <c r="N2" s="22">
        <v>30</v>
      </c>
      <c r="O2" s="23"/>
      <c r="P2" s="24">
        <v>90</v>
      </c>
      <c r="Q2" s="24">
        <v>90</v>
      </c>
      <c r="R2" s="24">
        <v>90</v>
      </c>
      <c r="S2" s="24">
        <v>90</v>
      </c>
      <c r="T2" s="25"/>
      <c r="U2" s="24">
        <v>180</v>
      </c>
      <c r="V2" s="24">
        <v>180</v>
      </c>
      <c r="W2" s="25">
        <v>365</v>
      </c>
      <c r="X2" s="26">
        <v>365</v>
      </c>
      <c r="Y2" s="26">
        <v>360</v>
      </c>
    </row>
    <row r="3" spans="1:26" x14ac:dyDescent="0.25">
      <c r="B3" s="21" t="s">
        <v>16</v>
      </c>
      <c r="C3" s="22">
        <v>3</v>
      </c>
      <c r="D3" s="22">
        <v>9</v>
      </c>
      <c r="E3" s="22">
        <v>9</v>
      </c>
      <c r="F3" s="22">
        <v>9</v>
      </c>
      <c r="G3" s="22">
        <v>9</v>
      </c>
      <c r="H3" s="22">
        <v>13</v>
      </c>
      <c r="I3" s="22">
        <v>13</v>
      </c>
      <c r="J3" s="22">
        <v>13</v>
      </c>
      <c r="K3" s="22">
        <v>13</v>
      </c>
      <c r="L3" s="22">
        <v>15</v>
      </c>
      <c r="M3" s="22">
        <v>15</v>
      </c>
      <c r="N3" s="22">
        <v>15</v>
      </c>
      <c r="O3" s="23"/>
      <c r="P3" s="22">
        <v>25</v>
      </c>
      <c r="Q3" s="22">
        <f>30</f>
        <v>30</v>
      </c>
      <c r="R3" s="22">
        <v>35</v>
      </c>
      <c r="S3" s="22">
        <f>40</f>
        <v>40</v>
      </c>
      <c r="T3" s="23"/>
      <c r="U3" s="22">
        <f>50</f>
        <v>50</v>
      </c>
      <c r="V3" s="22">
        <v>50</v>
      </c>
      <c r="W3" s="23">
        <v>70</v>
      </c>
      <c r="X3" s="23">
        <v>100</v>
      </c>
      <c r="Y3" s="23">
        <v>150</v>
      </c>
    </row>
    <row r="4" spans="1:26" x14ac:dyDescent="0.25">
      <c r="B4" s="21" t="s">
        <v>0</v>
      </c>
      <c r="C4" s="4">
        <v>0</v>
      </c>
      <c r="D4" s="4">
        <v>300000</v>
      </c>
      <c r="E4" s="4">
        <v>400000</v>
      </c>
      <c r="F4" s="4">
        <v>500000</v>
      </c>
      <c r="G4" s="4">
        <v>600000</v>
      </c>
      <c r="H4" s="4">
        <v>700000</v>
      </c>
      <c r="I4" s="4">
        <v>900000</v>
      </c>
      <c r="J4" s="4">
        <v>1100000</v>
      </c>
      <c r="K4" s="4">
        <v>1300000</v>
      </c>
      <c r="L4" s="4">
        <v>1500000</v>
      </c>
      <c r="M4" s="4">
        <v>1800000</v>
      </c>
      <c r="N4" s="4">
        <v>2100000</v>
      </c>
      <c r="O4" s="12">
        <f>SUM(C4:N4)</f>
        <v>11200000</v>
      </c>
      <c r="P4" s="4">
        <v>7500000</v>
      </c>
      <c r="Q4" s="4">
        <v>10000000</v>
      </c>
      <c r="R4" s="4">
        <v>12000000</v>
      </c>
      <c r="S4" s="4">
        <v>16000000</v>
      </c>
      <c r="T4" s="12">
        <f>SUM(P4:S4)</f>
        <v>45500000</v>
      </c>
      <c r="U4" s="4">
        <v>30000000</v>
      </c>
      <c r="V4" s="4">
        <v>35000000</v>
      </c>
      <c r="W4" s="12">
        <v>65000000</v>
      </c>
      <c r="X4" s="12">
        <v>110000000</v>
      </c>
      <c r="Y4" s="12">
        <v>170000000</v>
      </c>
    </row>
    <row r="5" spans="1:26" x14ac:dyDescent="0.25">
      <c r="B5" s="21" t="s">
        <v>28</v>
      </c>
      <c r="C5" s="2">
        <v>30000</v>
      </c>
      <c r="D5" s="2">
        <v>30000</v>
      </c>
      <c r="E5" s="2">
        <v>30000</v>
      </c>
      <c r="F5" s="2">
        <v>30000</v>
      </c>
      <c r="G5" s="2">
        <v>30000</v>
      </c>
      <c r="H5" s="2">
        <v>30000</v>
      </c>
      <c r="I5" s="2">
        <v>30000</v>
      </c>
      <c r="J5" s="2">
        <v>30000</v>
      </c>
      <c r="K5" s="2">
        <v>30000</v>
      </c>
      <c r="L5" s="2">
        <v>30000</v>
      </c>
      <c r="M5" s="2">
        <v>30000</v>
      </c>
      <c r="N5" s="2">
        <v>30000</v>
      </c>
      <c r="O5" s="8">
        <f t="shared" ref="O5:O9" si="0">SUM(C5:N5)</f>
        <v>360000</v>
      </c>
      <c r="P5" s="2">
        <f>60000*3</f>
        <v>180000</v>
      </c>
      <c r="Q5" s="2">
        <f t="shared" ref="Q5:S5" si="1">60000*3</f>
        <v>180000</v>
      </c>
      <c r="R5" s="2">
        <f t="shared" si="1"/>
        <v>180000</v>
      </c>
      <c r="S5" s="2">
        <f t="shared" si="1"/>
        <v>180000</v>
      </c>
      <c r="T5" s="8">
        <f>SUM(P5:S5)</f>
        <v>720000</v>
      </c>
      <c r="U5" s="2">
        <f>100000*6</f>
        <v>600000</v>
      </c>
      <c r="V5" s="2">
        <f>100000*6</f>
        <v>600000</v>
      </c>
      <c r="W5" s="8">
        <f>SUM(U5:V5)</f>
        <v>1200000</v>
      </c>
      <c r="X5" s="8">
        <f>125000*12</f>
        <v>1500000</v>
      </c>
      <c r="Y5" s="8">
        <f>125000*12</f>
        <v>1500000</v>
      </c>
    </row>
    <row r="6" spans="1:26" x14ac:dyDescent="0.25">
      <c r="B6" s="21" t="s">
        <v>29</v>
      </c>
      <c r="C6" s="2">
        <v>100000</v>
      </c>
      <c r="D6" s="2">
        <v>100000</v>
      </c>
      <c r="E6" s="2">
        <v>100000</v>
      </c>
      <c r="F6" s="2">
        <v>100000</v>
      </c>
      <c r="G6" s="2">
        <v>100000</v>
      </c>
      <c r="H6" s="2">
        <v>100000</v>
      </c>
      <c r="I6" s="2">
        <v>100000</v>
      </c>
      <c r="J6" s="2">
        <v>100000</v>
      </c>
      <c r="K6" s="2">
        <v>100000</v>
      </c>
      <c r="L6" s="2">
        <v>100000</v>
      </c>
      <c r="M6" s="2">
        <v>100000</v>
      </c>
      <c r="N6" s="2">
        <v>100000</v>
      </c>
      <c r="O6" s="8">
        <f t="shared" si="0"/>
        <v>1200000</v>
      </c>
      <c r="P6" s="2">
        <f>200000*3</f>
        <v>600000</v>
      </c>
      <c r="Q6" s="2">
        <f t="shared" ref="Q6:S6" si="2">200000*3</f>
        <v>600000</v>
      </c>
      <c r="R6" s="2">
        <f t="shared" si="2"/>
        <v>600000</v>
      </c>
      <c r="S6" s="2">
        <f t="shared" si="2"/>
        <v>600000</v>
      </c>
      <c r="T6" s="8">
        <f>SUM(P6:S6)</f>
        <v>2400000</v>
      </c>
      <c r="U6" s="2">
        <f>300000*6</f>
        <v>1800000</v>
      </c>
      <c r="V6" s="2">
        <f>300000*6</f>
        <v>1800000</v>
      </c>
      <c r="W6" s="8">
        <f>SUM(U6:V6)</f>
        <v>3600000</v>
      </c>
      <c r="X6" s="8">
        <f>400000*12</f>
        <v>4800000</v>
      </c>
      <c r="Y6" s="8">
        <f>400000*12</f>
        <v>4800000</v>
      </c>
    </row>
    <row r="7" spans="1:26" x14ac:dyDescent="0.25">
      <c r="B7" s="21" t="s">
        <v>30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50000</v>
      </c>
      <c r="M7" s="2">
        <v>50000</v>
      </c>
      <c r="N7" s="2">
        <v>50000</v>
      </c>
      <c r="O7" s="8">
        <f t="shared" si="0"/>
        <v>150000</v>
      </c>
      <c r="P7" s="2">
        <f>80000*3</f>
        <v>240000</v>
      </c>
      <c r="Q7" s="2">
        <f t="shared" ref="Q7:S7" si="3">80000*3</f>
        <v>240000</v>
      </c>
      <c r="R7" s="2">
        <f t="shared" si="3"/>
        <v>240000</v>
      </c>
      <c r="S7" s="2">
        <f t="shared" si="3"/>
        <v>240000</v>
      </c>
      <c r="T7" s="8">
        <f>SUM(P7:S7)</f>
        <v>960000</v>
      </c>
      <c r="U7" s="2">
        <f>160000*6</f>
        <v>960000</v>
      </c>
      <c r="V7" s="2">
        <f>160000*6</f>
        <v>960000</v>
      </c>
      <c r="W7" s="8">
        <f>SUM(U7:V7)</f>
        <v>1920000</v>
      </c>
      <c r="X7" s="8">
        <f>240000*12</f>
        <v>2880000</v>
      </c>
      <c r="Y7" s="8">
        <f>360000*12</f>
        <v>4320000</v>
      </c>
    </row>
    <row r="8" spans="1:26" x14ac:dyDescent="0.25">
      <c r="B8" s="21" t="s">
        <v>6</v>
      </c>
      <c r="C8" s="2">
        <v>5000</v>
      </c>
      <c r="D8" s="2">
        <f>C8</f>
        <v>5000</v>
      </c>
      <c r="E8" s="2">
        <f t="shared" ref="E8:N8" si="4">D8</f>
        <v>5000</v>
      </c>
      <c r="F8" s="2">
        <f t="shared" si="4"/>
        <v>5000</v>
      </c>
      <c r="G8" s="2">
        <f t="shared" si="4"/>
        <v>5000</v>
      </c>
      <c r="H8" s="2">
        <f t="shared" si="4"/>
        <v>5000</v>
      </c>
      <c r="I8" s="2">
        <f t="shared" si="4"/>
        <v>5000</v>
      </c>
      <c r="J8" s="2">
        <f t="shared" si="4"/>
        <v>5000</v>
      </c>
      <c r="K8" s="2">
        <f t="shared" si="4"/>
        <v>5000</v>
      </c>
      <c r="L8" s="2">
        <f t="shared" si="4"/>
        <v>5000</v>
      </c>
      <c r="M8" s="2">
        <f>L8</f>
        <v>5000</v>
      </c>
      <c r="N8" s="2">
        <f t="shared" si="4"/>
        <v>5000</v>
      </c>
      <c r="O8" s="8">
        <f t="shared" si="0"/>
        <v>60000</v>
      </c>
      <c r="P8" s="2">
        <f>15000*3</f>
        <v>45000</v>
      </c>
      <c r="Q8" s="2">
        <f t="shared" ref="Q8:S8" si="5">15000*3</f>
        <v>45000</v>
      </c>
      <c r="R8" s="2">
        <f t="shared" si="5"/>
        <v>45000</v>
      </c>
      <c r="S8" s="2">
        <f t="shared" si="5"/>
        <v>45000</v>
      </c>
      <c r="T8" s="8">
        <f t="shared" ref="T8:T31" si="6">SUM(P8:S8)</f>
        <v>180000</v>
      </c>
      <c r="U8" s="2">
        <f>20000*6</f>
        <v>120000</v>
      </c>
      <c r="V8" s="2">
        <f>20000*6</f>
        <v>120000</v>
      </c>
      <c r="W8" s="8">
        <f t="shared" ref="W8:W31" si="7">SUM(U8:V8)</f>
        <v>240000</v>
      </c>
      <c r="X8" s="8">
        <f>40000*12</f>
        <v>480000</v>
      </c>
      <c r="Y8" s="8">
        <f>40000*12</f>
        <v>480000</v>
      </c>
    </row>
    <row r="9" spans="1:26" x14ac:dyDescent="0.25">
      <c r="B9" s="27" t="s">
        <v>19</v>
      </c>
      <c r="C9" s="2">
        <f>150000</f>
        <v>150000</v>
      </c>
      <c r="D9" s="2">
        <v>10000</v>
      </c>
      <c r="E9" s="2">
        <v>10000</v>
      </c>
      <c r="F9" s="2">
        <v>10000</v>
      </c>
      <c r="G9" s="2">
        <v>10000</v>
      </c>
      <c r="H9" s="2">
        <v>10000</v>
      </c>
      <c r="I9" s="2">
        <v>10000</v>
      </c>
      <c r="J9" s="2">
        <v>10000</v>
      </c>
      <c r="K9" s="2">
        <v>10000</v>
      </c>
      <c r="L9" s="2">
        <v>10000</v>
      </c>
      <c r="M9" s="2">
        <v>10000</v>
      </c>
      <c r="N9" s="2">
        <v>10000</v>
      </c>
      <c r="O9" s="8">
        <f t="shared" si="0"/>
        <v>260000</v>
      </c>
      <c r="P9" s="3">
        <f>20000*3</f>
        <v>60000</v>
      </c>
      <c r="Q9" s="3">
        <f t="shared" ref="Q9:S9" si="8">20000*3</f>
        <v>60000</v>
      </c>
      <c r="R9" s="3">
        <f t="shared" si="8"/>
        <v>60000</v>
      </c>
      <c r="S9" s="3">
        <f t="shared" si="8"/>
        <v>60000</v>
      </c>
      <c r="T9" s="8">
        <f t="shared" si="6"/>
        <v>240000</v>
      </c>
      <c r="U9" s="3">
        <f>30000*6</f>
        <v>180000</v>
      </c>
      <c r="V9" s="3">
        <f>30000*6</f>
        <v>180000</v>
      </c>
      <c r="W9" s="8">
        <f>SUM(U9:V9)</f>
        <v>360000</v>
      </c>
      <c r="X9" s="8">
        <f>30000*12</f>
        <v>360000</v>
      </c>
      <c r="Y9" s="8">
        <f>30000*12</f>
        <v>360000</v>
      </c>
    </row>
    <row r="10" spans="1:26" x14ac:dyDescent="0.25">
      <c r="B10" s="27" t="s">
        <v>34</v>
      </c>
      <c r="C10" s="2">
        <f>40000+40000+50000</f>
        <v>130000</v>
      </c>
      <c r="D10" s="2">
        <f>150000+6*30000</f>
        <v>330000</v>
      </c>
      <c r="E10" s="2">
        <f t="shared" ref="E10:G10" si="9">150000+6*30000</f>
        <v>330000</v>
      </c>
      <c r="F10" s="2">
        <f t="shared" si="9"/>
        <v>330000</v>
      </c>
      <c r="G10" s="2">
        <f t="shared" si="9"/>
        <v>330000</v>
      </c>
      <c r="H10" s="2">
        <f>200000+11*30000</f>
        <v>530000</v>
      </c>
      <c r="I10" s="2">
        <f t="shared" ref="I10:K10" si="10">200000+11*30000</f>
        <v>530000</v>
      </c>
      <c r="J10" s="2">
        <f t="shared" si="10"/>
        <v>530000</v>
      </c>
      <c r="K10" s="2">
        <f t="shared" si="10"/>
        <v>530000</v>
      </c>
      <c r="L10" s="2">
        <v>530000</v>
      </c>
      <c r="M10" s="2">
        <f t="shared" ref="M10:N10" si="11">200000+15*30000</f>
        <v>650000</v>
      </c>
      <c r="N10" s="2">
        <f t="shared" si="11"/>
        <v>650000</v>
      </c>
      <c r="O10" s="8">
        <f t="shared" ref="O10:O17" si="12">SUM(C10:N10)</f>
        <v>5400000</v>
      </c>
      <c r="P10" s="2">
        <f>(250000+20*30000)*3</f>
        <v>2550000</v>
      </c>
      <c r="Q10" s="2">
        <f>(300000+23*30000)*3</f>
        <v>2970000</v>
      </c>
      <c r="R10" s="2">
        <f>(350000+28*30000)*3</f>
        <v>3570000</v>
      </c>
      <c r="S10" s="2">
        <f>(500000+30*30000)*3</f>
        <v>4200000</v>
      </c>
      <c r="T10" s="8">
        <f t="shared" si="6"/>
        <v>13290000</v>
      </c>
      <c r="U10" s="2">
        <f>U3*40000*6</f>
        <v>12000000</v>
      </c>
      <c r="V10" s="2">
        <f>V3*40000*6</f>
        <v>12000000</v>
      </c>
      <c r="W10" s="8">
        <f t="shared" si="7"/>
        <v>24000000</v>
      </c>
      <c r="X10" s="8">
        <f>X3*40000*12</f>
        <v>48000000</v>
      </c>
      <c r="Y10" s="8">
        <f>Y3*40000*12</f>
        <v>72000000</v>
      </c>
    </row>
    <row r="11" spans="1:26" x14ac:dyDescent="0.25">
      <c r="B11" s="21" t="s">
        <v>7</v>
      </c>
      <c r="C11" s="2">
        <v>6000</v>
      </c>
      <c r="D11" s="2">
        <v>6000</v>
      </c>
      <c r="E11" s="2">
        <v>6000</v>
      </c>
      <c r="F11" s="2">
        <v>6000</v>
      </c>
      <c r="G11" s="2">
        <v>6000</v>
      </c>
      <c r="H11" s="2">
        <v>10000</v>
      </c>
      <c r="I11" s="2">
        <f t="shared" ref="I11:N11" si="13">H11</f>
        <v>10000</v>
      </c>
      <c r="J11" s="2">
        <f t="shared" si="13"/>
        <v>10000</v>
      </c>
      <c r="K11" s="2">
        <v>15000</v>
      </c>
      <c r="L11" s="2">
        <f t="shared" si="13"/>
        <v>15000</v>
      </c>
      <c r="M11" s="2">
        <f t="shared" si="13"/>
        <v>15000</v>
      </c>
      <c r="N11" s="2">
        <f t="shared" si="13"/>
        <v>15000</v>
      </c>
      <c r="O11" s="8">
        <f t="shared" si="12"/>
        <v>120000</v>
      </c>
      <c r="P11" s="2">
        <f>15000*3</f>
        <v>45000</v>
      </c>
      <c r="Q11" s="2">
        <f t="shared" ref="Q11" si="14">15000*3</f>
        <v>45000</v>
      </c>
      <c r="R11" s="2">
        <f>20000*3</f>
        <v>60000</v>
      </c>
      <c r="S11" s="2">
        <f>20000*3</f>
        <v>60000</v>
      </c>
      <c r="T11" s="8">
        <f t="shared" si="6"/>
        <v>210000</v>
      </c>
      <c r="U11" s="2">
        <f>25000*6</f>
        <v>150000</v>
      </c>
      <c r="V11" s="2">
        <f>25000*6</f>
        <v>150000</v>
      </c>
      <c r="W11" s="8">
        <f t="shared" si="7"/>
        <v>300000</v>
      </c>
      <c r="X11" s="8">
        <f>30000*12</f>
        <v>360000</v>
      </c>
      <c r="Y11" s="8">
        <f>30000*12</f>
        <v>360000</v>
      </c>
    </row>
    <row r="12" spans="1:26" x14ac:dyDescent="0.25">
      <c r="B12" s="21" t="s">
        <v>8</v>
      </c>
      <c r="C12" s="2">
        <v>80000</v>
      </c>
      <c r="D12" s="2">
        <v>80000</v>
      </c>
      <c r="E12" s="2">
        <v>80000</v>
      </c>
      <c r="F12" s="2">
        <v>80000</v>
      </c>
      <c r="G12" s="2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8">
        <f t="shared" si="12"/>
        <v>960000</v>
      </c>
      <c r="P12" s="2">
        <f>80000*3</f>
        <v>240000</v>
      </c>
      <c r="Q12" s="2">
        <f t="shared" ref="Q12:S12" si="15">80000*3</f>
        <v>240000</v>
      </c>
      <c r="R12" s="2">
        <f t="shared" si="15"/>
        <v>240000</v>
      </c>
      <c r="S12" s="2">
        <f t="shared" si="15"/>
        <v>240000</v>
      </c>
      <c r="T12" s="8">
        <f t="shared" si="6"/>
        <v>960000</v>
      </c>
      <c r="U12" s="2">
        <f>80000*6</f>
        <v>480000</v>
      </c>
      <c r="V12" s="2">
        <f>80000*6</f>
        <v>480000</v>
      </c>
      <c r="W12" s="8">
        <f>SUM(U12:V12)</f>
        <v>960000</v>
      </c>
      <c r="X12" s="8">
        <f>80000*12</f>
        <v>960000</v>
      </c>
      <c r="Y12" s="8">
        <f>80000*12</f>
        <v>960000</v>
      </c>
    </row>
    <row r="13" spans="1:26" x14ac:dyDescent="0.25">
      <c r="B13" s="21" t="s">
        <v>31</v>
      </c>
      <c r="C13" s="2">
        <v>20000</v>
      </c>
      <c r="D13" s="2">
        <v>20000</v>
      </c>
      <c r="E13" s="2">
        <v>20000</v>
      </c>
      <c r="F13" s="2">
        <v>20000</v>
      </c>
      <c r="G13" s="2">
        <v>20000</v>
      </c>
      <c r="H13" s="2">
        <v>20000</v>
      </c>
      <c r="I13" s="2">
        <v>20000</v>
      </c>
      <c r="J13" s="2">
        <v>20000</v>
      </c>
      <c r="K13" s="2">
        <v>20000</v>
      </c>
      <c r="L13" s="2">
        <v>20000</v>
      </c>
      <c r="M13" s="2">
        <v>20000</v>
      </c>
      <c r="N13" s="2">
        <v>20000</v>
      </c>
      <c r="O13" s="8">
        <f>SUM(C13:N13)</f>
        <v>240000</v>
      </c>
      <c r="P13" s="2">
        <f>20000*3</f>
        <v>60000</v>
      </c>
      <c r="Q13" s="2">
        <f>30000*3</f>
        <v>90000</v>
      </c>
      <c r="R13" s="2">
        <f t="shared" ref="R13:S13" si="16">30000*3</f>
        <v>90000</v>
      </c>
      <c r="S13" s="2">
        <f t="shared" si="16"/>
        <v>90000</v>
      </c>
      <c r="T13" s="8">
        <f t="shared" si="6"/>
        <v>330000</v>
      </c>
      <c r="U13" s="2">
        <f>60000*6</f>
        <v>360000</v>
      </c>
      <c r="V13" s="2">
        <f>60000*6</f>
        <v>360000</v>
      </c>
      <c r="W13" s="8">
        <f>SUM(U13:V13)</f>
        <v>720000</v>
      </c>
      <c r="X13" s="8">
        <f>100000*12</f>
        <v>1200000</v>
      </c>
      <c r="Y13" s="8">
        <f>100000*12</f>
        <v>1200000</v>
      </c>
    </row>
    <row r="14" spans="1:26" x14ac:dyDescent="0.25">
      <c r="B14" s="21" t="s">
        <v>9</v>
      </c>
      <c r="C14" s="2">
        <v>50000</v>
      </c>
      <c r="D14" s="2">
        <v>50000</v>
      </c>
      <c r="E14" s="2">
        <v>50000</v>
      </c>
      <c r="F14" s="2">
        <v>50000</v>
      </c>
      <c r="G14" s="2">
        <v>50000</v>
      </c>
      <c r="H14" s="2">
        <v>50000</v>
      </c>
      <c r="I14" s="2">
        <v>50000</v>
      </c>
      <c r="J14" s="2">
        <v>50000</v>
      </c>
      <c r="K14" s="2">
        <v>75000</v>
      </c>
      <c r="L14" s="2">
        <f t="shared" ref="L14:N14" si="17">K14</f>
        <v>75000</v>
      </c>
      <c r="M14" s="2">
        <f t="shared" si="17"/>
        <v>75000</v>
      </c>
      <c r="N14" s="2">
        <f t="shared" si="17"/>
        <v>75000</v>
      </c>
      <c r="O14" s="8">
        <f t="shared" si="12"/>
        <v>700000</v>
      </c>
      <c r="P14" s="2">
        <f>80000*3</f>
        <v>240000</v>
      </c>
      <c r="Q14" s="2">
        <f>80000*3</f>
        <v>240000</v>
      </c>
      <c r="R14" s="2">
        <f t="shared" ref="R14:S14" si="18">80000*3</f>
        <v>240000</v>
      </c>
      <c r="S14" s="2">
        <f t="shared" si="18"/>
        <v>240000</v>
      </c>
      <c r="T14" s="8">
        <f t="shared" si="6"/>
        <v>960000</v>
      </c>
      <c r="U14" s="2">
        <f>150000*6</f>
        <v>900000</v>
      </c>
      <c r="V14" s="2">
        <f>150000*6</f>
        <v>900000</v>
      </c>
      <c r="W14" s="8">
        <f t="shared" si="7"/>
        <v>1800000</v>
      </c>
      <c r="X14" s="8">
        <f>200000*12</f>
        <v>2400000</v>
      </c>
      <c r="Y14" s="8">
        <f>300000*12</f>
        <v>3600000</v>
      </c>
    </row>
    <row r="15" spans="1:26" x14ac:dyDescent="0.25">
      <c r="B15" s="21" t="s">
        <v>17</v>
      </c>
      <c r="C15" s="2">
        <f t="shared" ref="C15:N15" si="19">10000+12000*C3*0.44</f>
        <v>25840</v>
      </c>
      <c r="D15" s="2">
        <f t="shared" si="19"/>
        <v>57520</v>
      </c>
      <c r="E15" s="2">
        <f t="shared" si="19"/>
        <v>57520</v>
      </c>
      <c r="F15" s="2">
        <f t="shared" si="19"/>
        <v>57520</v>
      </c>
      <c r="G15" s="2">
        <f t="shared" si="19"/>
        <v>57520</v>
      </c>
      <c r="H15" s="2">
        <f t="shared" si="19"/>
        <v>78640</v>
      </c>
      <c r="I15" s="2">
        <f t="shared" si="19"/>
        <v>78640</v>
      </c>
      <c r="J15" s="2">
        <f t="shared" si="19"/>
        <v>78640</v>
      </c>
      <c r="K15" s="2">
        <f t="shared" si="19"/>
        <v>78640</v>
      </c>
      <c r="L15" s="2">
        <f t="shared" si="19"/>
        <v>89200</v>
      </c>
      <c r="M15" s="2">
        <f t="shared" si="19"/>
        <v>89200</v>
      </c>
      <c r="N15" s="2">
        <f t="shared" si="19"/>
        <v>89200</v>
      </c>
      <c r="O15" s="8">
        <f t="shared" si="12"/>
        <v>838080</v>
      </c>
      <c r="P15" s="2">
        <f>25000+12000*P3*0.44*3</f>
        <v>421000</v>
      </c>
      <c r="Q15" s="2">
        <f>25000+12000*Q3*0.44*3</f>
        <v>500200</v>
      </c>
      <c r="R15" s="2">
        <f>25000+12000*R3*0.44*3</f>
        <v>579400</v>
      </c>
      <c r="S15" s="2">
        <f>25000+12000*S3*0.44*3</f>
        <v>658600</v>
      </c>
      <c r="T15" s="8">
        <f t="shared" si="6"/>
        <v>2159200</v>
      </c>
      <c r="U15" s="2">
        <f>25000+12000*U3*0.44*6</f>
        <v>1609000</v>
      </c>
      <c r="V15" s="2">
        <f>25000+12000*V3*0.44*6</f>
        <v>1609000</v>
      </c>
      <c r="W15" s="8">
        <f t="shared" si="7"/>
        <v>3218000</v>
      </c>
      <c r="X15" s="8">
        <f>25000+12000*X3*0.44*12</f>
        <v>6361000</v>
      </c>
      <c r="Y15" s="8">
        <f>25000+12000*Y3*0.44*12</f>
        <v>9529000</v>
      </c>
    </row>
    <row r="16" spans="1:26" x14ac:dyDescent="0.25">
      <c r="B16" s="21" t="s">
        <v>10</v>
      </c>
      <c r="C16" s="2">
        <v>15000</v>
      </c>
      <c r="D16" s="2">
        <v>15000</v>
      </c>
      <c r="E16" s="2">
        <v>15000</v>
      </c>
      <c r="F16" s="2">
        <v>15000</v>
      </c>
      <c r="G16" s="2">
        <v>15000</v>
      </c>
      <c r="H16" s="2">
        <v>15000</v>
      </c>
      <c r="I16" s="2">
        <v>15000</v>
      </c>
      <c r="J16" s="2">
        <v>15000</v>
      </c>
      <c r="K16" s="2">
        <v>20000</v>
      </c>
      <c r="L16" s="2">
        <v>20000</v>
      </c>
      <c r="M16" s="2">
        <v>20000</v>
      </c>
      <c r="N16" s="2">
        <v>20000</v>
      </c>
      <c r="O16" s="8">
        <f t="shared" si="12"/>
        <v>200000</v>
      </c>
      <c r="P16" s="2">
        <f>20000*3</f>
        <v>60000</v>
      </c>
      <c r="Q16" s="2">
        <f t="shared" ref="Q16:S16" si="20">20000*3</f>
        <v>60000</v>
      </c>
      <c r="R16" s="2">
        <f t="shared" si="20"/>
        <v>60000</v>
      </c>
      <c r="S16" s="2">
        <f t="shared" si="20"/>
        <v>60000</v>
      </c>
      <c r="T16" s="8">
        <f t="shared" si="6"/>
        <v>240000</v>
      </c>
      <c r="U16" s="2">
        <f>100000*6</f>
        <v>600000</v>
      </c>
      <c r="V16" s="2">
        <f>100000*6</f>
        <v>600000</v>
      </c>
      <c r="W16" s="8">
        <f t="shared" si="7"/>
        <v>1200000</v>
      </c>
      <c r="X16" s="8">
        <f>100000*12</f>
        <v>1200000</v>
      </c>
      <c r="Y16" s="8">
        <f>100000*12</f>
        <v>1200000</v>
      </c>
    </row>
    <row r="17" spans="2:25" x14ac:dyDescent="0.25">
      <c r="B17" s="21" t="s">
        <v>11</v>
      </c>
      <c r="C17" s="2">
        <v>20000</v>
      </c>
      <c r="D17" s="2">
        <f>C17</f>
        <v>20000</v>
      </c>
      <c r="E17" s="2">
        <f t="shared" ref="E17:N17" si="21">D17</f>
        <v>20000</v>
      </c>
      <c r="F17" s="2">
        <f t="shared" si="21"/>
        <v>20000</v>
      </c>
      <c r="G17" s="2">
        <f t="shared" si="21"/>
        <v>20000</v>
      </c>
      <c r="H17" s="2">
        <f t="shared" si="21"/>
        <v>20000</v>
      </c>
      <c r="I17" s="2">
        <f t="shared" si="21"/>
        <v>20000</v>
      </c>
      <c r="J17" s="2">
        <f t="shared" si="21"/>
        <v>20000</v>
      </c>
      <c r="K17" s="2">
        <f t="shared" si="21"/>
        <v>20000</v>
      </c>
      <c r="L17" s="2">
        <f t="shared" si="21"/>
        <v>20000</v>
      </c>
      <c r="M17" s="2">
        <f t="shared" si="21"/>
        <v>20000</v>
      </c>
      <c r="N17" s="2">
        <f t="shared" si="21"/>
        <v>20000</v>
      </c>
      <c r="O17" s="8">
        <f t="shared" si="12"/>
        <v>240000</v>
      </c>
      <c r="P17" s="2">
        <f>25000*3</f>
        <v>75000</v>
      </c>
      <c r="Q17" s="2">
        <f t="shared" ref="Q17:S17" si="22">25000*3</f>
        <v>75000</v>
      </c>
      <c r="R17" s="2">
        <f t="shared" si="22"/>
        <v>75000</v>
      </c>
      <c r="S17" s="2">
        <f t="shared" si="22"/>
        <v>75000</v>
      </c>
      <c r="T17" s="8">
        <f t="shared" si="6"/>
        <v>300000</v>
      </c>
      <c r="U17" s="2">
        <f>25000*6</f>
        <v>150000</v>
      </c>
      <c r="V17" s="2">
        <f>25000*6</f>
        <v>150000</v>
      </c>
      <c r="W17" s="8">
        <f t="shared" si="7"/>
        <v>300000</v>
      </c>
      <c r="X17" s="8">
        <f>25000*12</f>
        <v>300000</v>
      </c>
      <c r="Y17" s="8">
        <f>25000*12</f>
        <v>300000</v>
      </c>
    </row>
    <row r="18" spans="2:25" x14ac:dyDescent="0.25">
      <c r="B18" s="21" t="s">
        <v>32</v>
      </c>
      <c r="C18" s="2">
        <v>10000</v>
      </c>
      <c r="D18" s="2">
        <f>C18</f>
        <v>10000</v>
      </c>
      <c r="E18" s="2">
        <f t="shared" ref="E18:N18" si="23">D18</f>
        <v>10000</v>
      </c>
      <c r="F18" s="2">
        <f t="shared" si="23"/>
        <v>10000</v>
      </c>
      <c r="G18" s="2">
        <f t="shared" si="23"/>
        <v>10000</v>
      </c>
      <c r="H18" s="2">
        <f t="shared" si="23"/>
        <v>10000</v>
      </c>
      <c r="I18" s="2">
        <f t="shared" si="23"/>
        <v>10000</v>
      </c>
      <c r="J18" s="2">
        <f t="shared" si="23"/>
        <v>10000</v>
      </c>
      <c r="K18" s="2">
        <f t="shared" si="23"/>
        <v>10000</v>
      </c>
      <c r="L18" s="2">
        <f t="shared" si="23"/>
        <v>10000</v>
      </c>
      <c r="M18" s="2">
        <f t="shared" si="23"/>
        <v>10000</v>
      </c>
      <c r="N18" s="2">
        <f t="shared" si="23"/>
        <v>10000</v>
      </c>
      <c r="O18" s="8">
        <f>SUM(C18:N18)</f>
        <v>120000</v>
      </c>
      <c r="P18" s="3">
        <f>15000*3</f>
        <v>45000</v>
      </c>
      <c r="Q18" s="3">
        <f t="shared" ref="Q18:S18" si="24">15000*3</f>
        <v>45000</v>
      </c>
      <c r="R18" s="3">
        <f t="shared" si="24"/>
        <v>45000</v>
      </c>
      <c r="S18" s="3">
        <f t="shared" si="24"/>
        <v>45000</v>
      </c>
      <c r="T18" s="8">
        <f>SUM(P18:S18)</f>
        <v>180000</v>
      </c>
      <c r="U18" s="3">
        <f>15000*6</f>
        <v>90000</v>
      </c>
      <c r="V18" s="3">
        <f>15000*6</f>
        <v>90000</v>
      </c>
      <c r="W18" s="8">
        <f>SUM(U18:V18)</f>
        <v>180000</v>
      </c>
      <c r="X18" s="8">
        <f>15000*12</f>
        <v>180000</v>
      </c>
      <c r="Y18" s="8">
        <f>15000*12</f>
        <v>180000</v>
      </c>
    </row>
    <row r="19" spans="2:25" x14ac:dyDescent="0.25">
      <c r="B19" s="21" t="s">
        <v>33</v>
      </c>
      <c r="C19" s="2">
        <v>1000000</v>
      </c>
      <c r="D19" s="2">
        <v>150000</v>
      </c>
      <c r="E19" s="2">
        <v>150000</v>
      </c>
      <c r="F19" s="2">
        <v>150000</v>
      </c>
      <c r="G19" s="2">
        <v>150000</v>
      </c>
      <c r="H19" s="2">
        <v>200000</v>
      </c>
      <c r="I19" s="2">
        <v>200000</v>
      </c>
      <c r="J19" s="2">
        <v>200000</v>
      </c>
      <c r="K19" s="2">
        <v>200000</v>
      </c>
      <c r="L19" s="2">
        <v>200000</v>
      </c>
      <c r="M19" s="2">
        <v>250000</v>
      </c>
      <c r="N19" s="2">
        <v>250000</v>
      </c>
      <c r="O19" s="8">
        <f>SUM(C19:N19)</f>
        <v>3100000</v>
      </c>
      <c r="P19" s="3">
        <v>900000</v>
      </c>
      <c r="Q19" s="3">
        <v>900000</v>
      </c>
      <c r="R19" s="3">
        <v>900000</v>
      </c>
      <c r="S19" s="3">
        <v>900000</v>
      </c>
      <c r="T19" s="8">
        <f>SUM(P19:S19)</f>
        <v>3600000</v>
      </c>
      <c r="U19" s="2">
        <v>2000000</v>
      </c>
      <c r="V19" s="2">
        <v>2300000</v>
      </c>
      <c r="W19" s="8">
        <f>SUM(U19:V19)</f>
        <v>4300000</v>
      </c>
      <c r="X19" s="8">
        <v>5000000</v>
      </c>
      <c r="Y19" s="8">
        <v>6000000</v>
      </c>
    </row>
    <row r="20" spans="2:25" x14ac:dyDescent="0.25">
      <c r="B20" s="21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3"/>
      <c r="P20" s="28"/>
      <c r="Q20" s="28"/>
      <c r="R20" s="28"/>
      <c r="S20" s="28"/>
      <c r="T20" s="23"/>
      <c r="U20" s="28"/>
      <c r="V20" s="28"/>
      <c r="W20" s="23"/>
      <c r="X20" s="23"/>
      <c r="Y20" s="23"/>
    </row>
    <row r="21" spans="2:25" ht="6" customHeight="1" x14ac:dyDescent="0.25">
      <c r="B21" s="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8"/>
      <c r="P21" s="2"/>
      <c r="Q21" s="2"/>
      <c r="R21" s="2"/>
      <c r="S21" s="2"/>
      <c r="T21" s="8"/>
      <c r="U21" s="14"/>
      <c r="V21" s="14"/>
      <c r="W21" s="8"/>
      <c r="X21" s="8"/>
      <c r="Y21" s="8"/>
    </row>
    <row r="22" spans="2:25" x14ac:dyDescent="0.25">
      <c r="B22" s="21" t="s">
        <v>12</v>
      </c>
      <c r="C22" s="4">
        <f t="shared" ref="C22:M22" si="25">SUM(C5:C19)</f>
        <v>1641840</v>
      </c>
      <c r="D22" s="4">
        <f t="shared" si="25"/>
        <v>883520</v>
      </c>
      <c r="E22" s="4">
        <f t="shared" si="25"/>
        <v>883520</v>
      </c>
      <c r="F22" s="4">
        <f t="shared" si="25"/>
        <v>883520</v>
      </c>
      <c r="G22" s="4">
        <f t="shared" si="25"/>
        <v>883520</v>
      </c>
      <c r="H22" s="4">
        <f t="shared" si="25"/>
        <v>1158640</v>
      </c>
      <c r="I22" s="4">
        <f t="shared" si="25"/>
        <v>1158640</v>
      </c>
      <c r="J22" s="4">
        <f t="shared" si="25"/>
        <v>1158640</v>
      </c>
      <c r="K22" s="4">
        <f t="shared" si="25"/>
        <v>1193640</v>
      </c>
      <c r="L22" s="4">
        <f t="shared" si="25"/>
        <v>1254200</v>
      </c>
      <c r="M22" s="4">
        <f t="shared" si="25"/>
        <v>1424200</v>
      </c>
      <c r="N22" s="4">
        <f>SUM(N5:N19)</f>
        <v>1424200</v>
      </c>
      <c r="O22" s="12">
        <f>SUM(O5:O18)</f>
        <v>10848080</v>
      </c>
      <c r="P22" s="4">
        <f>SUM(P5:P19)</f>
        <v>5761000</v>
      </c>
      <c r="Q22" s="4">
        <f>SUM(Q5:Q19)</f>
        <v>6290200</v>
      </c>
      <c r="R22" s="4">
        <f>SUM(R5:R19)</f>
        <v>6984400</v>
      </c>
      <c r="S22" s="4">
        <f>SUM(S5:S19)</f>
        <v>7693600</v>
      </c>
      <c r="T22" s="12">
        <f t="shared" si="6"/>
        <v>26729200</v>
      </c>
      <c r="U22" s="4">
        <f>SUM(U5:U19)</f>
        <v>21999000</v>
      </c>
      <c r="V22" s="4">
        <f>SUM(V5:V19)</f>
        <v>22299000</v>
      </c>
      <c r="W22" s="12">
        <f>SUM(U22:V22)</f>
        <v>44298000</v>
      </c>
      <c r="X22" s="13">
        <f>SUM(X5:X19)</f>
        <v>75981000</v>
      </c>
      <c r="Y22" s="12">
        <f>SUM(Y5:Y19)</f>
        <v>106789000</v>
      </c>
    </row>
    <row r="23" spans="2:25" ht="6.75" customHeight="1" x14ac:dyDescent="0.25">
      <c r="B23" s="2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8"/>
      <c r="P23" s="2"/>
      <c r="Q23" s="2"/>
      <c r="R23" s="2"/>
      <c r="S23" s="2"/>
      <c r="T23" s="8"/>
      <c r="U23" s="14"/>
      <c r="V23" s="14"/>
      <c r="W23" s="8"/>
      <c r="X23" s="8"/>
      <c r="Y23" s="8"/>
    </row>
    <row r="24" spans="2:25" x14ac:dyDescent="0.25">
      <c r="B24" s="21" t="s">
        <v>13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8"/>
      <c r="P24" s="2"/>
      <c r="Q24" s="2"/>
      <c r="R24" s="2"/>
      <c r="S24" s="2"/>
      <c r="T24" s="8"/>
      <c r="U24" s="14"/>
      <c r="V24" s="14"/>
      <c r="W24" s="8"/>
      <c r="X24" s="8"/>
      <c r="Y24" s="8"/>
    </row>
    <row r="25" spans="2:25" ht="6.75" customHeight="1" x14ac:dyDescent="0.25">
      <c r="B25" s="2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"/>
      <c r="P25" s="2"/>
      <c r="Q25" s="2"/>
      <c r="R25" s="2"/>
      <c r="S25" s="2"/>
      <c r="T25" s="8"/>
      <c r="U25" s="14"/>
      <c r="V25" s="14"/>
      <c r="W25" s="8"/>
      <c r="X25" s="8"/>
      <c r="Y25" s="8"/>
    </row>
    <row r="26" spans="2:25" x14ac:dyDescent="0.25">
      <c r="B26" s="21" t="s">
        <v>14</v>
      </c>
      <c r="C26" s="4">
        <f>C22+C24</f>
        <v>1641840</v>
      </c>
      <c r="D26" s="4">
        <f>D22+D24</f>
        <v>883520</v>
      </c>
      <c r="E26" s="4">
        <f t="shared" ref="E26:O26" si="26">E22+E24</f>
        <v>883520</v>
      </c>
      <c r="F26" s="4">
        <f>F22+F24</f>
        <v>883520</v>
      </c>
      <c r="G26" s="4">
        <f t="shared" si="26"/>
        <v>883520</v>
      </c>
      <c r="H26" s="4">
        <f t="shared" si="26"/>
        <v>1158640</v>
      </c>
      <c r="I26" s="4">
        <f t="shared" si="26"/>
        <v>1158640</v>
      </c>
      <c r="J26" s="4">
        <f t="shared" si="26"/>
        <v>1158640</v>
      </c>
      <c r="K26" s="4">
        <f t="shared" si="26"/>
        <v>1193640</v>
      </c>
      <c r="L26" s="4">
        <f t="shared" si="26"/>
        <v>1254200</v>
      </c>
      <c r="M26" s="4">
        <f t="shared" si="26"/>
        <v>1424200</v>
      </c>
      <c r="N26" s="4">
        <f>N22+N24</f>
        <v>1424200</v>
      </c>
      <c r="O26" s="12">
        <f t="shared" si="26"/>
        <v>10848080</v>
      </c>
      <c r="P26" s="4">
        <f>P22+P24</f>
        <v>5761000</v>
      </c>
      <c r="Q26" s="4">
        <f t="shared" ref="Q26:S26" si="27">Q22+Q24</f>
        <v>6290200</v>
      </c>
      <c r="R26" s="4">
        <f>R22+R24</f>
        <v>6984400</v>
      </c>
      <c r="S26" s="4">
        <f t="shared" si="27"/>
        <v>7693600</v>
      </c>
      <c r="T26" s="12">
        <f t="shared" si="6"/>
        <v>26729200</v>
      </c>
      <c r="U26" s="4">
        <f>U22+U24</f>
        <v>21999000</v>
      </c>
      <c r="V26" s="4">
        <f>V22+V24</f>
        <v>22299000</v>
      </c>
      <c r="W26" s="12">
        <f t="shared" si="7"/>
        <v>44298000</v>
      </c>
      <c r="X26" s="12">
        <f>X22+X24</f>
        <v>75981000</v>
      </c>
      <c r="Y26" s="12">
        <f>Y22+Y24</f>
        <v>106789000</v>
      </c>
    </row>
    <row r="27" spans="2:25" ht="6.75" customHeight="1" x14ac:dyDescent="0.25">
      <c r="B27" s="2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8"/>
      <c r="P27" s="2"/>
      <c r="Q27" s="2"/>
      <c r="R27" s="2"/>
      <c r="S27" s="2"/>
      <c r="T27" s="8"/>
      <c r="U27" s="14"/>
      <c r="V27" s="14"/>
      <c r="W27" s="8"/>
      <c r="X27" s="8"/>
      <c r="Y27" s="8"/>
    </row>
    <row r="28" spans="2:25" x14ac:dyDescent="0.25">
      <c r="B28" s="21" t="s">
        <v>1</v>
      </c>
      <c r="C28" s="5">
        <f t="shared" ref="C28:S28" si="28">C4-(C26)</f>
        <v>-1641840</v>
      </c>
      <c r="D28" s="5">
        <f>D4-(D26)</f>
        <v>-583520</v>
      </c>
      <c r="E28" s="5">
        <f t="shared" si="28"/>
        <v>-483520</v>
      </c>
      <c r="F28" s="5">
        <f t="shared" si="28"/>
        <v>-383520</v>
      </c>
      <c r="G28" s="5">
        <f t="shared" si="28"/>
        <v>-283520</v>
      </c>
      <c r="H28" s="5">
        <f t="shared" si="28"/>
        <v>-458640</v>
      </c>
      <c r="I28" s="5">
        <f t="shared" si="28"/>
        <v>-258640</v>
      </c>
      <c r="J28" s="5">
        <f t="shared" si="28"/>
        <v>-58640</v>
      </c>
      <c r="K28" s="5">
        <f t="shared" si="28"/>
        <v>106360</v>
      </c>
      <c r="L28" s="5">
        <f t="shared" si="28"/>
        <v>245800</v>
      </c>
      <c r="M28" s="5">
        <f t="shared" si="28"/>
        <v>375800</v>
      </c>
      <c r="N28" s="5">
        <f t="shared" si="28"/>
        <v>675800</v>
      </c>
      <c r="O28" s="12">
        <f t="shared" si="28"/>
        <v>351920</v>
      </c>
      <c r="P28" s="5">
        <f t="shared" si="28"/>
        <v>1739000</v>
      </c>
      <c r="Q28" s="5">
        <f t="shared" si="28"/>
        <v>3709800</v>
      </c>
      <c r="R28" s="5">
        <f t="shared" si="28"/>
        <v>5015600</v>
      </c>
      <c r="S28" s="5">
        <f t="shared" si="28"/>
        <v>8306400</v>
      </c>
      <c r="T28" s="12">
        <f t="shared" si="6"/>
        <v>18770800</v>
      </c>
      <c r="U28" s="5">
        <f>U4-(U26)</f>
        <v>8001000</v>
      </c>
      <c r="V28" s="5">
        <f>V4-(V26)</f>
        <v>12701000</v>
      </c>
      <c r="W28" s="12">
        <f t="shared" si="7"/>
        <v>20702000</v>
      </c>
      <c r="X28" s="12">
        <f>X4-(X26)</f>
        <v>34019000</v>
      </c>
      <c r="Y28" s="12">
        <f>Y4-(Y26)</f>
        <v>63211000</v>
      </c>
    </row>
    <row r="29" spans="2:25" ht="4.5" customHeight="1" x14ac:dyDescent="0.25">
      <c r="B29" s="2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3"/>
      <c r="P29" s="2"/>
      <c r="Q29" s="2"/>
      <c r="R29" s="2"/>
      <c r="S29" s="2"/>
      <c r="T29" s="8"/>
      <c r="U29" s="14"/>
      <c r="V29" s="14"/>
      <c r="W29" s="8"/>
      <c r="X29" s="8"/>
      <c r="Y29" s="8"/>
    </row>
    <row r="30" spans="2:25" x14ac:dyDescent="0.25">
      <c r="B30" s="21" t="s">
        <v>2</v>
      </c>
      <c r="C30" s="2">
        <f>C4*6%</f>
        <v>0</v>
      </c>
      <c r="D30" s="2">
        <f>D4*6%</f>
        <v>18000</v>
      </c>
      <c r="E30" s="2">
        <f>E4*6%</f>
        <v>24000</v>
      </c>
      <c r="F30" s="2">
        <f t="shared" ref="F30:N30" si="29">F4*6%</f>
        <v>30000</v>
      </c>
      <c r="G30" s="2">
        <f t="shared" si="29"/>
        <v>36000</v>
      </c>
      <c r="H30" s="2">
        <f t="shared" si="29"/>
        <v>42000</v>
      </c>
      <c r="I30" s="2">
        <f t="shared" si="29"/>
        <v>54000</v>
      </c>
      <c r="J30" s="2">
        <f t="shared" si="29"/>
        <v>66000</v>
      </c>
      <c r="K30" s="2">
        <f t="shared" si="29"/>
        <v>78000</v>
      </c>
      <c r="L30" s="2">
        <f t="shared" si="29"/>
        <v>90000</v>
      </c>
      <c r="M30" s="2">
        <f t="shared" si="29"/>
        <v>108000</v>
      </c>
      <c r="N30" s="2">
        <f t="shared" si="29"/>
        <v>126000</v>
      </c>
      <c r="O30" s="8">
        <f>SUM(C30:N30)</f>
        <v>672000</v>
      </c>
      <c r="P30" s="2">
        <f>P4*20%</f>
        <v>1500000</v>
      </c>
      <c r="Q30" s="2">
        <f>Q4*20%</f>
        <v>2000000</v>
      </c>
      <c r="R30" s="2">
        <f>R4*20%</f>
        <v>2400000</v>
      </c>
      <c r="S30" s="2">
        <f>S4*20%</f>
        <v>3200000</v>
      </c>
      <c r="T30" s="8">
        <f>SUM(P30:S30)</f>
        <v>9100000</v>
      </c>
      <c r="U30" s="2">
        <f>U4*20%</f>
        <v>6000000</v>
      </c>
      <c r="V30" s="2">
        <f>V4*20%</f>
        <v>7000000</v>
      </c>
      <c r="W30" s="8">
        <f t="shared" si="7"/>
        <v>13000000</v>
      </c>
      <c r="X30" s="8">
        <f>X4*20%</f>
        <v>22000000</v>
      </c>
      <c r="Y30" s="8">
        <f>Y4*20%</f>
        <v>34000000</v>
      </c>
    </row>
    <row r="31" spans="2:25" x14ac:dyDescent="0.25">
      <c r="B31" s="21" t="s">
        <v>3</v>
      </c>
      <c r="C31" s="5">
        <f>C28-C30</f>
        <v>-1641840</v>
      </c>
      <c r="D31" s="5">
        <f>D28-D30</f>
        <v>-601520</v>
      </c>
      <c r="E31" s="5">
        <f>E28-E30</f>
        <v>-507520</v>
      </c>
      <c r="F31" s="5">
        <f t="shared" ref="F31:N31" si="30">F28-F30</f>
        <v>-413520</v>
      </c>
      <c r="G31" s="5">
        <f t="shared" si="30"/>
        <v>-319520</v>
      </c>
      <c r="H31" s="5">
        <f t="shared" si="30"/>
        <v>-500640</v>
      </c>
      <c r="I31" s="5">
        <f t="shared" si="30"/>
        <v>-312640</v>
      </c>
      <c r="J31" s="5">
        <f t="shared" si="30"/>
        <v>-124640</v>
      </c>
      <c r="K31" s="5">
        <f t="shared" si="30"/>
        <v>28360</v>
      </c>
      <c r="L31" s="5">
        <f t="shared" si="30"/>
        <v>155800</v>
      </c>
      <c r="M31" s="5">
        <f t="shared" si="30"/>
        <v>267800</v>
      </c>
      <c r="N31" s="5">
        <f t="shared" si="30"/>
        <v>549800</v>
      </c>
      <c r="O31" s="12">
        <f>SUM(C31:N31)</f>
        <v>-3420080</v>
      </c>
      <c r="P31" s="5">
        <f>P28-P30</f>
        <v>239000</v>
      </c>
      <c r="Q31" s="5">
        <f t="shared" ref="Q31:S31" si="31">Q28-Q30</f>
        <v>1709800</v>
      </c>
      <c r="R31" s="5">
        <f t="shared" si="31"/>
        <v>2615600</v>
      </c>
      <c r="S31" s="5">
        <f t="shared" si="31"/>
        <v>5106400</v>
      </c>
      <c r="T31" s="12">
        <f t="shared" si="6"/>
        <v>9670800</v>
      </c>
      <c r="U31" s="5">
        <f>U28-U30</f>
        <v>2001000</v>
      </c>
      <c r="V31" s="5">
        <f>V28-V30</f>
        <v>5701000</v>
      </c>
      <c r="W31" s="12">
        <f t="shared" si="7"/>
        <v>7702000</v>
      </c>
      <c r="X31" s="12">
        <f>X28-X30</f>
        <v>12019000</v>
      </c>
      <c r="Y31" s="12">
        <f>Y28-Y30</f>
        <v>29211000</v>
      </c>
    </row>
    <row r="32" spans="2:25" x14ac:dyDescent="0.25">
      <c r="B32" s="21" t="s">
        <v>4</v>
      </c>
      <c r="C32" s="6">
        <f>C31</f>
        <v>-1641840</v>
      </c>
      <c r="D32" s="6">
        <f>D31+C32</f>
        <v>-2243360</v>
      </c>
      <c r="E32" s="6">
        <f t="shared" ref="E32:N32" si="32">E31+D32</f>
        <v>-2750880</v>
      </c>
      <c r="F32" s="6">
        <f t="shared" si="32"/>
        <v>-3164400</v>
      </c>
      <c r="G32" s="6">
        <f t="shared" si="32"/>
        <v>-3483920</v>
      </c>
      <c r="H32" s="6">
        <f t="shared" si="32"/>
        <v>-3984560</v>
      </c>
      <c r="I32" s="6">
        <f t="shared" si="32"/>
        <v>-4297200</v>
      </c>
      <c r="J32" s="6">
        <f t="shared" si="32"/>
        <v>-4421840</v>
      </c>
      <c r="K32" s="6">
        <f t="shared" si="32"/>
        <v>-4393480</v>
      </c>
      <c r="L32" s="6">
        <f>L31+K32</f>
        <v>-4237680</v>
      </c>
      <c r="M32" s="6">
        <f t="shared" si="32"/>
        <v>-3969880</v>
      </c>
      <c r="N32" s="6">
        <f t="shared" si="32"/>
        <v>-3420080</v>
      </c>
      <c r="O32" s="29"/>
      <c r="P32" s="6">
        <f>P31+N32</f>
        <v>-3181080</v>
      </c>
      <c r="Q32" s="6">
        <f t="shared" ref="Q32:S32" si="33">Q31+P32</f>
        <v>-1471280</v>
      </c>
      <c r="R32" s="6">
        <f t="shared" si="33"/>
        <v>1144320</v>
      </c>
      <c r="S32" s="6">
        <f t="shared" si="33"/>
        <v>6250720</v>
      </c>
      <c r="T32" s="29"/>
      <c r="U32" s="6">
        <f>U31+S32</f>
        <v>8251720</v>
      </c>
      <c r="V32" s="6">
        <f>V31+U32</f>
        <v>13952720</v>
      </c>
      <c r="W32" s="10"/>
      <c r="X32" s="11">
        <f>X31+V32</f>
        <v>25971720</v>
      </c>
      <c r="Y32" s="11">
        <f t="shared" ref="Y32" si="34">Y31+X32</f>
        <v>55182720</v>
      </c>
    </row>
    <row r="33" spans="2:25" ht="5.25" customHeight="1" x14ac:dyDescent="0.25">
      <c r="B33" s="2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3"/>
      <c r="P33" s="2"/>
      <c r="Q33" s="2"/>
      <c r="R33" s="2"/>
      <c r="S33" s="2"/>
      <c r="T33" s="8"/>
      <c r="U33" s="14"/>
      <c r="V33" s="14"/>
      <c r="W33" s="8"/>
      <c r="X33" s="8"/>
      <c r="Y33" s="8"/>
    </row>
    <row r="34" spans="2:25" ht="15.75" thickBot="1" x14ac:dyDescent="0.3">
      <c r="B34" s="30" t="s">
        <v>5</v>
      </c>
      <c r="C34" s="31">
        <f>IF(C31&lt;0,(C31*-1),0)</f>
        <v>1641840</v>
      </c>
      <c r="D34" s="31">
        <f>IF(D31&lt;0,(D31*-1),0)</f>
        <v>601520</v>
      </c>
      <c r="E34" s="31">
        <f t="shared" ref="E34:Y34" si="35">IF(E31&lt;0,(E31*-1),0)</f>
        <v>507520</v>
      </c>
      <c r="F34" s="31">
        <f t="shared" si="35"/>
        <v>413520</v>
      </c>
      <c r="G34" s="31">
        <f t="shared" si="35"/>
        <v>319520</v>
      </c>
      <c r="H34" s="31">
        <f t="shared" si="35"/>
        <v>500640</v>
      </c>
      <c r="I34" s="31">
        <f t="shared" si="35"/>
        <v>312640</v>
      </c>
      <c r="J34" s="31">
        <f t="shared" si="35"/>
        <v>124640</v>
      </c>
      <c r="K34" s="31">
        <f t="shared" si="35"/>
        <v>0</v>
      </c>
      <c r="L34" s="31">
        <f t="shared" si="35"/>
        <v>0</v>
      </c>
      <c r="M34" s="31">
        <f t="shared" si="35"/>
        <v>0</v>
      </c>
      <c r="N34" s="31">
        <f>IF(N31&lt;0,(N31*-1),0)</f>
        <v>0</v>
      </c>
      <c r="O34" s="32">
        <f>SUM(C34:N34)</f>
        <v>4421840</v>
      </c>
      <c r="P34" s="31">
        <f t="shared" si="35"/>
        <v>0</v>
      </c>
      <c r="Q34" s="31">
        <f t="shared" si="35"/>
        <v>0</v>
      </c>
      <c r="R34" s="31">
        <f t="shared" si="35"/>
        <v>0</v>
      </c>
      <c r="S34" s="31">
        <f t="shared" si="35"/>
        <v>0</v>
      </c>
      <c r="T34" s="33">
        <f>SUM(P34:S34)</f>
        <v>0</v>
      </c>
      <c r="U34" s="31">
        <f t="shared" si="35"/>
        <v>0</v>
      </c>
      <c r="V34" s="31">
        <f t="shared" si="35"/>
        <v>0</v>
      </c>
      <c r="W34" s="33">
        <f>SUM(U34:V34)</f>
        <v>0</v>
      </c>
      <c r="X34" s="33">
        <f t="shared" si="35"/>
        <v>0</v>
      </c>
      <c r="Y34" s="33">
        <f t="shared" si="35"/>
        <v>0</v>
      </c>
    </row>
    <row r="35" spans="2:25" x14ac:dyDescent="0.25">
      <c r="O35"/>
    </row>
    <row r="36" spans="2:25" x14ac:dyDescent="0.25">
      <c r="O36"/>
    </row>
    <row r="37" spans="2:25" x14ac:dyDescent="0.25">
      <c r="O37"/>
    </row>
    <row r="38" spans="2:25" ht="15" customHeight="1" x14ac:dyDescent="0.25"/>
    <row r="39" spans="2:25" x14ac:dyDescent="0.25">
      <c r="N39" s="34">
        <v>0</v>
      </c>
    </row>
    <row r="40" spans="2:25" x14ac:dyDescent="0.25">
      <c r="O40"/>
    </row>
    <row r="42" spans="2:25" x14ac:dyDescent="0.25">
      <c r="O42"/>
      <c r="T42"/>
      <c r="W42"/>
      <c r="X42"/>
      <c r="Y42"/>
    </row>
    <row r="43" spans="2:25" x14ac:dyDescent="0.25">
      <c r="O43"/>
      <c r="T43"/>
      <c r="W43"/>
      <c r="X43"/>
      <c r="Y43"/>
    </row>
    <row r="44" spans="2:25" x14ac:dyDescent="0.25">
      <c r="O44"/>
      <c r="T44"/>
      <c r="W44"/>
      <c r="X44"/>
      <c r="Y44"/>
    </row>
    <row r="45" spans="2:25" x14ac:dyDescent="0.25">
      <c r="O45"/>
      <c r="T45"/>
      <c r="W45"/>
      <c r="X45"/>
      <c r="Y45"/>
    </row>
    <row r="46" spans="2:25" x14ac:dyDescent="0.25">
      <c r="O46"/>
      <c r="T46"/>
      <c r="W46"/>
      <c r="X46"/>
      <c r="Y46"/>
    </row>
    <row r="47" spans="2:25" x14ac:dyDescent="0.25">
      <c r="O47"/>
      <c r="T47"/>
      <c r="W47"/>
      <c r="X47"/>
      <c r="Y47"/>
    </row>
    <row r="48" spans="2:25" x14ac:dyDescent="0.25">
      <c r="O48"/>
      <c r="T48"/>
      <c r="W48"/>
      <c r="X48"/>
      <c r="Y48"/>
    </row>
    <row r="49" spans="15:25" x14ac:dyDescent="0.25">
      <c r="O49"/>
      <c r="T49"/>
      <c r="W49"/>
      <c r="X49"/>
      <c r="Y49"/>
    </row>
    <row r="50" spans="15:25" x14ac:dyDescent="0.25">
      <c r="O50"/>
      <c r="T50"/>
      <c r="W50"/>
      <c r="X50"/>
      <c r="Y50"/>
    </row>
    <row r="51" spans="15:25" x14ac:dyDescent="0.25">
      <c r="O51"/>
      <c r="T51"/>
      <c r="W51"/>
      <c r="X51"/>
      <c r="Y51"/>
    </row>
    <row r="52" spans="15:25" x14ac:dyDescent="0.25">
      <c r="O52"/>
      <c r="T52"/>
      <c r="W52"/>
      <c r="X52"/>
      <c r="Y52"/>
    </row>
    <row r="53" spans="15:25" x14ac:dyDescent="0.25">
      <c r="O53"/>
      <c r="T53"/>
      <c r="W53"/>
      <c r="X53"/>
      <c r="Y53"/>
    </row>
    <row r="54" spans="15:25" x14ac:dyDescent="0.25">
      <c r="O54"/>
      <c r="T54"/>
      <c r="W54"/>
      <c r="X54"/>
      <c r="Y54"/>
    </row>
    <row r="55" spans="15:25" x14ac:dyDescent="0.25">
      <c r="O55"/>
      <c r="T55"/>
      <c r="W55"/>
      <c r="X55"/>
      <c r="Y55"/>
    </row>
    <row r="56" spans="15:25" x14ac:dyDescent="0.25">
      <c r="O56"/>
      <c r="T56"/>
      <c r="W56"/>
      <c r="X56"/>
      <c r="Y56"/>
    </row>
    <row r="57" spans="15:25" x14ac:dyDescent="0.25">
      <c r="O57"/>
      <c r="T57"/>
      <c r="W57"/>
      <c r="X57"/>
      <c r="Y57"/>
    </row>
    <row r="58" spans="15:25" x14ac:dyDescent="0.25">
      <c r="O58"/>
      <c r="T58"/>
      <c r="W58"/>
      <c r="X58"/>
      <c r="Y58"/>
    </row>
    <row r="59" spans="15:25" x14ac:dyDescent="0.25">
      <c r="O59"/>
      <c r="T59"/>
      <c r="W59"/>
      <c r="X59"/>
      <c r="Y59"/>
    </row>
    <row r="60" spans="15:25" x14ac:dyDescent="0.25">
      <c r="O60"/>
      <c r="T60"/>
      <c r="W60"/>
      <c r="X60"/>
      <c r="Y60"/>
    </row>
    <row r="61" spans="15:25" x14ac:dyDescent="0.25">
      <c r="O61"/>
      <c r="T61"/>
      <c r="W61"/>
      <c r="X61"/>
      <c r="Y61"/>
    </row>
    <row r="62" spans="15:25" ht="15.95" customHeight="1" x14ac:dyDescent="0.25">
      <c r="O62"/>
      <c r="T62"/>
      <c r="W62"/>
      <c r="X62"/>
      <c r="Y62"/>
    </row>
    <row r="63" spans="15:25" hidden="1" x14ac:dyDescent="0.25">
      <c r="O63"/>
      <c r="T63"/>
      <c r="W63"/>
      <c r="X63"/>
      <c r="Y63"/>
    </row>
    <row r="64" spans="15:25" x14ac:dyDescent="0.25">
      <c r="O64"/>
      <c r="T64"/>
      <c r="W64"/>
      <c r="X64"/>
      <c r="Y64"/>
    </row>
    <row r="65" spans="15:25" x14ac:dyDescent="0.25">
      <c r="O65"/>
      <c r="T65"/>
      <c r="W65"/>
      <c r="X65"/>
      <c r="Y65"/>
    </row>
    <row r="66" spans="15:25" x14ac:dyDescent="0.25">
      <c r="O66"/>
      <c r="T66"/>
      <c r="W66"/>
      <c r="X66"/>
      <c r="Y66"/>
    </row>
  </sheetData>
  <phoneticPr fontId="4" type="noConversion"/>
  <pageMargins left="0.25" right="0.25" top="2.3622047244094491" bottom="0.75000000000000011" header="0.30000000000000004" footer="0.30000000000000004"/>
  <rowBreaks count="1" manualBreakCount="1">
    <brk id="34" max="16383" man="1"/>
  </rowBreaks>
  <colBreaks count="1" manualBreakCount="1">
    <brk id="25" max="1048575" man="1"/>
  </colBreaks>
  <ignoredErrors>
    <ignoredError sqref="F38:Y38 X21:Y21 X17:Y17 Q6 F15:G15 R10:R11 X10:Y10 I15:N15 T34 W34 W22 S10 P13 Q13:S13 F39:M39 O39:Y39" formula="1"/>
    <ignoredError sqref="O10 F33:W33 F32:O32 F27:W27 F26:M26 O26:W26 F23:W23 O22 Q32:U32 O31 F29:W29 F28:J28 L28:M28 F21:W21 O15:R15 T4 O12 I11:J11 L11:Q11 L14:O14 T8:T12 W10:W11 W14 O16 T16 W16 F17:W17 O28:W28 F25:W25 F24:H24 P24:W24 T31 W31 X33:Y33 X29:Y29 X27:Y27 X23:Y25 F34:S34 T22 O30:W30 T15:W15 T14" formula="1" emptyCellReference="1"/>
    <ignoredError sqref="D8:L8 W8 C32:E33 N8 O8:O9 U9:V9 C21:E21 C17:E17 C23:E23 C25:E27 D24:E24 C22:M22 N26 X26 Y26 X28:Y28 X30:Y31 C34 E34 C29:E29 C28 E28 C30:D30" emptyCellReference="1"/>
  </ignoredErrors>
  <extLst>
    <ext xmlns:mx="http://schemas.microsoft.com/office/mac/excel/2008/main" uri="{64002731-A6B0-56B0-2670-7721B7C09600}">
      <mx:PLV Mode="0" OnePage="0" WScale="5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Финансы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2012-07-15T17:01:55Z</cp:lastPrinted>
  <dcterms:created xsi:type="dcterms:W3CDTF">2011-06-19T04:38:36Z</dcterms:created>
  <dcterms:modified xsi:type="dcterms:W3CDTF">2018-04-03T20:41:36Z</dcterms:modified>
</cp:coreProperties>
</file>